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<sst xmlns="http://schemas.openxmlformats.org/spreadsheetml/2006/main" count="101">
  <si>
    <t>工程数量汇总表</t>
  </si>
  <si>
    <t xml:space="preserve">工程名称：坦洲镇新前进村宝山宝中街山体滑坡整治工程 </t>
  </si>
  <si>
    <t>钢筋工程</t>
  </si>
  <si>
    <t>序号</t>
  </si>
  <si>
    <t>工程项目</t>
  </si>
  <si>
    <t>工程细目</t>
  </si>
  <si>
    <t>材料、规格</t>
  </si>
  <si>
    <t>单位</t>
  </si>
  <si>
    <t>工程数量</t>
  </si>
  <si>
    <t>备注</t>
  </si>
  <si>
    <t>计算公式</t>
  </si>
  <si>
    <t>8箍筋</t>
  </si>
  <si>
    <t>格子梁护坡工程</t>
  </si>
  <si>
    <t>C30砼底梁</t>
  </si>
  <si>
    <t>30*40</t>
  </si>
  <si>
    <t>m</t>
  </si>
  <si>
    <t>m3</t>
  </si>
  <si>
    <t>92.73*0.188</t>
  </si>
  <si>
    <t>C30砼顶梁</t>
  </si>
  <si>
    <t>40*40</t>
  </si>
  <si>
    <t>102.56*0.209</t>
  </si>
  <si>
    <t>C30砼格子梁</t>
  </si>
  <si>
    <t>1118.52*0.4*0.3</t>
  </si>
  <si>
    <t>纵梁</t>
  </si>
  <si>
    <t>400*300</t>
  </si>
  <si>
    <t>69.92*0.3*0.4+0.25*0.1*69.92</t>
  </si>
  <si>
    <t>坡顶截水沟</t>
  </si>
  <si>
    <t>C25砼</t>
  </si>
  <si>
    <t>0.1507*115.16</t>
  </si>
  <si>
    <t>喷播草种</t>
  </si>
  <si>
    <t>厚10cm</t>
  </si>
  <si>
    <t>m2</t>
  </si>
  <si>
    <t>484+545+325</t>
  </si>
  <si>
    <t>纤维网</t>
  </si>
  <si>
    <t>上山阶梯</t>
  </si>
  <si>
    <t>按工程量汇总表</t>
  </si>
  <si>
    <t>挡水板</t>
  </si>
  <si>
    <t>102.56*0.1*0.2</t>
  </si>
  <si>
    <t>锚杆</t>
  </si>
  <si>
    <t>Ⅲ级钢直径28mm</t>
  </si>
  <si>
    <t>50*9+204*9</t>
  </si>
  <si>
    <t>边坡挖土方</t>
  </si>
  <si>
    <t>二类土</t>
  </si>
  <si>
    <t>C30砼护坡工程</t>
  </si>
  <si>
    <t>C30砼护坡</t>
  </si>
  <si>
    <t>厚40cm</t>
  </si>
  <si>
    <t>51.64*0.4</t>
  </si>
  <si>
    <t>C30砼压顶</t>
  </si>
  <si>
    <t>0.1584*10</t>
  </si>
  <si>
    <t>反滤包</t>
  </si>
  <si>
    <t>个</t>
  </si>
  <si>
    <t>泄水管</t>
  </si>
  <si>
    <t>Φ75pvc</t>
  </si>
  <si>
    <t>土钉</t>
  </si>
  <si>
    <t>Ⅰ级钢直径16mm，长1.5m</t>
  </si>
  <si>
    <t>钢丝网</t>
  </si>
  <si>
    <t>Ⅰ级钢直径8mm</t>
  </si>
  <si>
    <t>t</t>
  </si>
  <si>
    <t>768*0.395/1000</t>
  </si>
  <si>
    <t>道路硬化工程</t>
  </si>
  <si>
    <t>路基整平压实</t>
  </si>
  <si>
    <t>75*5</t>
  </si>
  <si>
    <t>路面</t>
  </si>
  <si>
    <t>C30砼厚18</t>
  </si>
  <si>
    <t>基层</t>
  </si>
  <si>
    <t>15cm厚4%水泥石屑基层</t>
  </si>
  <si>
    <t>场地硬化工程</t>
  </si>
  <si>
    <t>C30砼厚20</t>
  </si>
  <si>
    <t>10cm厚4%水泥石屑基层</t>
  </si>
  <si>
    <t>挡土墙工程（总长64.6m）</t>
  </si>
  <si>
    <t>场地平整</t>
  </si>
  <si>
    <t>填土方</t>
  </si>
  <si>
    <t>C30砼</t>
  </si>
  <si>
    <t>厚50cm</t>
  </si>
  <si>
    <t>1.538*64.6</t>
  </si>
  <si>
    <t>沥青软木板</t>
  </si>
  <si>
    <t>挖土、回填土</t>
  </si>
  <si>
    <t>排水工程</t>
  </si>
  <si>
    <t>坡脚排水沟1</t>
  </si>
  <si>
    <t>一侧砌砖30*30</t>
  </si>
  <si>
    <t>坡脚排水沟1垫层</t>
  </si>
  <si>
    <t>0.1*0.55*10.9</t>
  </si>
  <si>
    <t>坡脚排水沟1砌筑</t>
  </si>
  <si>
    <t>10.9*0.2*0.3</t>
  </si>
  <si>
    <t>坡脚排水沟2</t>
  </si>
  <si>
    <t>砖砌排水沟30*30</t>
  </si>
  <si>
    <t>坡脚排水沟2垫层</t>
  </si>
  <si>
    <t>0.15*0.75*103.56</t>
  </si>
  <si>
    <t>坡脚排水沟2砌筑</t>
  </si>
  <si>
    <t>103.56*0.2*0.3*2</t>
  </si>
  <si>
    <t>混凝土排水沟（80*80)</t>
  </si>
  <si>
    <t>20.8+5.95+19.5</t>
  </si>
  <si>
    <t>砖砌跌水井</t>
  </si>
  <si>
    <t>1.0*1.0</t>
  </si>
  <si>
    <t>座</t>
  </si>
  <si>
    <t>D400排水管</t>
  </si>
  <si>
    <t>HDPE双壁波纹管</t>
  </si>
  <si>
    <t>挖土方</t>
  </si>
  <si>
    <t>(9.1+6.58)/2*46.25+103.56*0.7*0.4+10.9*0.5*0.4+2.4*2.4*1.75+1*6*1.1</t>
  </si>
  <si>
    <t>AT</t>
  </si>
  <si>
    <t>AW</t>
  </si>
</sst>
</file>

<file path=xl/styles.xml><?xml version="1.0" encoding="utf-8"?>
<styleSheet xmlns="http://schemas.openxmlformats.org/spreadsheetml/2006/main">
  <numFmts count="5">
    <numFmt numFmtId="176" formatCode="0.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9" fillId="2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7" borderId="8" applyNumberFormat="0" applyAlignment="0" applyProtection="0">
      <alignment vertical="center"/>
    </xf>
    <xf numFmtId="0" fontId="22" fillId="17" borderId="12" applyNumberFormat="0" applyAlignment="0" applyProtection="0">
      <alignment vertical="center"/>
    </xf>
    <xf numFmtId="0" fontId="5" fillId="9" borderId="6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1" fontId="0" fillId="2" borderId="2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2" borderId="2" xfId="49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0" fontId="0" fillId="0" borderId="2" xfId="50" applyFont="1" applyBorder="1" applyAlignment="1">
      <alignment horizontal="center" vertical="center"/>
    </xf>
    <xf numFmtId="0" fontId="0" fillId="0" borderId="2" xfId="50" applyFont="1" applyFill="1" applyBorder="1" applyAlignment="1">
      <alignment horizontal="center" vertical="center"/>
    </xf>
    <xf numFmtId="0" fontId="3" fillId="0" borderId="2" xfId="5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4" borderId="2" xfId="50" applyFont="1" applyFill="1" applyBorder="1" applyAlignment="1">
      <alignment horizontal="center" vertical="center"/>
    </xf>
    <xf numFmtId="0" fontId="3" fillId="0" borderId="0" xfId="50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4"/>
  <sheetViews>
    <sheetView tabSelected="1" topLeftCell="B1" workbookViewId="0">
      <selection activeCell="D6" sqref="D6"/>
    </sheetView>
  </sheetViews>
  <sheetFormatPr defaultColWidth="9" defaultRowHeight="13.5"/>
  <cols>
    <col min="1" max="1" width="12.75" style="1" customWidth="1"/>
    <col min="2" max="2" width="15.125" style="1" customWidth="1"/>
    <col min="3" max="3" width="21.25" style="1" customWidth="1"/>
    <col min="4" max="4" width="23.375" style="1" customWidth="1"/>
    <col min="5" max="7" width="12.75" style="1" customWidth="1"/>
    <col min="8" max="8" width="19.5" style="1" customWidth="1"/>
    <col min="9" max="9" width="12.75" style="1" customWidth="1"/>
    <col min="10" max="10" width="32.375" style="1" customWidth="1"/>
    <col min="11" max="11" width="11.5" style="3" customWidth="1"/>
    <col min="12" max="12" width="11.625" style="1"/>
    <col min="13" max="13" width="14.125" style="1"/>
    <col min="14" max="16" width="11.625" style="1"/>
    <col min="17" max="16384" width="9" style="1"/>
  </cols>
  <sheetData>
    <row r="1" ht="32.2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3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L2" s="1" t="s">
        <v>2</v>
      </c>
    </row>
    <row r="3" s="2" customFormat="1" ht="21.75" customHeight="1" spans="1:16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5</v>
      </c>
      <c r="I3" s="7" t="s">
        <v>7</v>
      </c>
      <c r="J3" s="15" t="s">
        <v>10</v>
      </c>
      <c r="K3" s="16" t="s">
        <v>8</v>
      </c>
      <c r="L3" s="17">
        <v>12</v>
      </c>
      <c r="M3" s="17">
        <v>16</v>
      </c>
      <c r="N3" s="17">
        <v>20</v>
      </c>
      <c r="O3" s="17">
        <v>8</v>
      </c>
      <c r="P3" s="17" t="s">
        <v>11</v>
      </c>
    </row>
    <row r="4" s="2" customFormat="1" ht="20.25" customHeight="1" spans="1:16">
      <c r="A4" s="8">
        <v>1</v>
      </c>
      <c r="B4" s="7" t="s">
        <v>12</v>
      </c>
      <c r="C4" s="7" t="s">
        <v>13</v>
      </c>
      <c r="D4" s="7" t="s">
        <v>14</v>
      </c>
      <c r="E4" s="7" t="s">
        <v>15</v>
      </c>
      <c r="F4" s="7">
        <v>92.73</v>
      </c>
      <c r="G4" s="7"/>
      <c r="H4" s="7" t="s">
        <v>13</v>
      </c>
      <c r="I4" s="7" t="s">
        <v>16</v>
      </c>
      <c r="J4" s="7" t="s">
        <v>17</v>
      </c>
      <c r="K4" s="16">
        <f>92.73*0.188</f>
        <v>17.43324</v>
      </c>
      <c r="L4" s="18"/>
      <c r="M4" s="18">
        <f>7*F4</f>
        <v>649.11</v>
      </c>
      <c r="N4" s="18"/>
      <c r="O4" s="18"/>
      <c r="P4" s="18">
        <f>463*1.74</f>
        <v>805.62</v>
      </c>
    </row>
    <row r="5" s="2" customFormat="1" ht="20.25" customHeight="1" spans="1:16">
      <c r="A5" s="8">
        <v>2</v>
      </c>
      <c r="B5" s="7"/>
      <c r="C5" s="7" t="s">
        <v>18</v>
      </c>
      <c r="D5" s="7" t="s">
        <v>19</v>
      </c>
      <c r="E5" s="7" t="s">
        <v>15</v>
      </c>
      <c r="F5" s="7">
        <v>102.56</v>
      </c>
      <c r="G5" s="7"/>
      <c r="H5" s="7" t="s">
        <v>18</v>
      </c>
      <c r="I5" s="7" t="s">
        <v>16</v>
      </c>
      <c r="J5" s="7" t="s">
        <v>20</v>
      </c>
      <c r="K5" s="16">
        <f>102.56*0.209</f>
        <v>21.43504</v>
      </c>
      <c r="L5" s="18"/>
      <c r="M5" s="18">
        <f>7*F5</f>
        <v>717.92</v>
      </c>
      <c r="N5" s="18"/>
      <c r="O5" s="18"/>
      <c r="P5" s="18">
        <f>512*1.82</f>
        <v>931.84</v>
      </c>
    </row>
    <row r="6" s="2" customFormat="1" ht="20.25" customHeight="1" spans="1:16">
      <c r="A6" s="8">
        <v>3</v>
      </c>
      <c r="B6" s="7"/>
      <c r="C6" s="7" t="s">
        <v>21</v>
      </c>
      <c r="D6" s="9">
        <v>3e+40</v>
      </c>
      <c r="E6" s="7" t="s">
        <v>15</v>
      </c>
      <c r="F6" s="10">
        <f>117.84/0.3+133.09/0.3+1.73+5.83+9.93+13.99+17.01+16.14+15.27+14.25+12.94+11.64+10.38+8.56+3.9+7.5+14.8+16.34+17.75+18.5+19.15+18.52+13.92+9.32+4.72</f>
        <v>1118.52333333333</v>
      </c>
      <c r="G6" s="7"/>
      <c r="H6" s="7" t="s">
        <v>21</v>
      </c>
      <c r="I6" s="7" t="s">
        <v>16</v>
      </c>
      <c r="J6" s="7" t="s">
        <v>22</v>
      </c>
      <c r="K6" s="16">
        <f>1118.52*0.4*0.3</f>
        <v>134.2224</v>
      </c>
      <c r="L6" s="18">
        <f>238*3*0.3*2</f>
        <v>428.4</v>
      </c>
      <c r="M6" s="18">
        <f>F6*4+140*0.8+4*240*1.6</f>
        <v>6122.09333333333</v>
      </c>
      <c r="N6" s="18"/>
      <c r="O6" s="18"/>
      <c r="P6" s="18">
        <f>0.7*2*5600</f>
        <v>7840</v>
      </c>
    </row>
    <row r="7" s="2" customFormat="1" ht="20.25" customHeight="1" spans="1:16">
      <c r="A7" s="8">
        <v>4</v>
      </c>
      <c r="B7" s="7"/>
      <c r="C7" s="7" t="s">
        <v>23</v>
      </c>
      <c r="D7" s="7" t="s">
        <v>24</v>
      </c>
      <c r="E7" s="7" t="s">
        <v>15</v>
      </c>
      <c r="F7" s="7">
        <f>14.33*2+20.63*2</f>
        <v>69.92</v>
      </c>
      <c r="G7" s="7"/>
      <c r="H7" s="7" t="s">
        <v>23</v>
      </c>
      <c r="I7" s="7" t="s">
        <v>16</v>
      </c>
      <c r="J7" s="7" t="s">
        <v>25</v>
      </c>
      <c r="K7" s="16">
        <f>69.92*0.3*0.4+0.25*0.1*69.92</f>
        <v>10.1384</v>
      </c>
      <c r="L7" s="19"/>
      <c r="M7" s="19"/>
      <c r="N7" s="18">
        <f>12*69.95</f>
        <v>839.4</v>
      </c>
      <c r="O7" s="18">
        <f>69.92*4</f>
        <v>279.68</v>
      </c>
      <c r="P7" s="18">
        <f>350*(1.5+1+1+1.4)</f>
        <v>1715</v>
      </c>
    </row>
    <row r="8" s="2" customFormat="1" ht="20.25" customHeight="1" spans="1:16">
      <c r="A8" s="8">
        <v>5</v>
      </c>
      <c r="B8" s="7"/>
      <c r="C8" s="7" t="s">
        <v>26</v>
      </c>
      <c r="D8" s="7" t="s">
        <v>27</v>
      </c>
      <c r="E8" s="7" t="s">
        <v>15</v>
      </c>
      <c r="F8" s="7">
        <v>115.16</v>
      </c>
      <c r="G8" s="7"/>
      <c r="H8" s="7" t="s">
        <v>26</v>
      </c>
      <c r="I8" s="7" t="s">
        <v>16</v>
      </c>
      <c r="J8" s="7" t="s">
        <v>28</v>
      </c>
      <c r="K8" s="7">
        <f>0.1507*115.16</f>
        <v>17.354612</v>
      </c>
      <c r="L8" s="19"/>
      <c r="M8" s="19"/>
      <c r="N8" s="19"/>
      <c r="O8" s="18">
        <f>24*102.56</f>
        <v>2461.44</v>
      </c>
      <c r="P8" s="18">
        <f>575*1.3*3</f>
        <v>2242.5</v>
      </c>
    </row>
    <row r="9" s="2" customFormat="1" ht="20.25" customHeight="1" spans="1:16">
      <c r="A9" s="8">
        <v>6</v>
      </c>
      <c r="B9" s="7"/>
      <c r="C9" s="7" t="s">
        <v>29</v>
      </c>
      <c r="D9" s="7" t="s">
        <v>30</v>
      </c>
      <c r="E9" s="7" t="s">
        <v>31</v>
      </c>
      <c r="F9" s="7">
        <f>484+545+325</f>
        <v>1354</v>
      </c>
      <c r="G9" s="7"/>
      <c r="H9" s="7" t="s">
        <v>29</v>
      </c>
      <c r="I9" s="7" t="s">
        <v>31</v>
      </c>
      <c r="J9" s="7" t="s">
        <v>32</v>
      </c>
      <c r="K9" s="16">
        <v>1354</v>
      </c>
      <c r="L9" s="19"/>
      <c r="M9" s="19"/>
      <c r="N9" s="19"/>
      <c r="O9" s="19"/>
      <c r="P9" s="19"/>
    </row>
    <row r="10" s="2" customFormat="1" ht="20.25" customHeight="1" spans="1:16">
      <c r="A10" s="8">
        <v>7</v>
      </c>
      <c r="B10" s="7"/>
      <c r="C10" s="7" t="s">
        <v>33</v>
      </c>
      <c r="D10" s="7"/>
      <c r="E10" s="7" t="s">
        <v>31</v>
      </c>
      <c r="F10" s="7">
        <f>F9</f>
        <v>1354</v>
      </c>
      <c r="G10" s="7"/>
      <c r="H10" s="7" t="s">
        <v>33</v>
      </c>
      <c r="I10" s="7" t="s">
        <v>31</v>
      </c>
      <c r="J10" s="7" t="s">
        <v>32</v>
      </c>
      <c r="K10" s="16">
        <v>1354</v>
      </c>
      <c r="L10" s="19"/>
      <c r="M10" s="19"/>
      <c r="N10" s="19"/>
      <c r="O10" s="19"/>
      <c r="P10" s="19"/>
    </row>
    <row r="11" s="2" customFormat="1" ht="20.25" customHeight="1" spans="1:16">
      <c r="A11" s="8">
        <v>8</v>
      </c>
      <c r="B11" s="7"/>
      <c r="C11" s="7" t="s">
        <v>34</v>
      </c>
      <c r="D11" s="7" t="s">
        <v>27</v>
      </c>
      <c r="E11" s="7" t="s">
        <v>16</v>
      </c>
      <c r="F11" s="10">
        <f>0.22*1.4*8.65*1.414</f>
        <v>3.7671788</v>
      </c>
      <c r="G11" s="7"/>
      <c r="H11" s="7" t="s">
        <v>34</v>
      </c>
      <c r="I11" s="7" t="s">
        <v>16</v>
      </c>
      <c r="J11" s="7" t="s">
        <v>35</v>
      </c>
      <c r="K11" s="16">
        <f>0.22*1.4*8.65*1.414</f>
        <v>3.7671788</v>
      </c>
      <c r="L11" s="19"/>
      <c r="M11" s="19"/>
      <c r="N11" s="19"/>
      <c r="O11" s="19"/>
      <c r="P11" s="19"/>
    </row>
    <row r="12" s="2" customFormat="1" ht="20.25" customHeight="1" spans="1:17">
      <c r="A12" s="8">
        <v>9</v>
      </c>
      <c r="B12" s="7"/>
      <c r="C12" s="7" t="s">
        <v>36</v>
      </c>
      <c r="D12" s="7" t="s">
        <v>27</v>
      </c>
      <c r="E12" s="7" t="s">
        <v>15</v>
      </c>
      <c r="F12" s="7">
        <f>F5</f>
        <v>102.56</v>
      </c>
      <c r="G12" s="7"/>
      <c r="H12" s="7" t="s">
        <v>36</v>
      </c>
      <c r="I12" s="7" t="s">
        <v>16</v>
      </c>
      <c r="J12" s="7" t="s">
        <v>37</v>
      </c>
      <c r="K12" s="16">
        <f>102.56*0.1*0.2</f>
        <v>2.0512</v>
      </c>
      <c r="L12" s="20"/>
      <c r="M12" s="20"/>
      <c r="N12" s="20"/>
      <c r="O12" s="18">
        <f>4*102.56</f>
        <v>410.24</v>
      </c>
      <c r="P12" s="18">
        <f>1*513</f>
        <v>513</v>
      </c>
      <c r="Q12" s="22"/>
    </row>
    <row r="13" s="2" customFormat="1" ht="20.25" customHeight="1" spans="1:16">
      <c r="A13" s="8">
        <v>10</v>
      </c>
      <c r="B13" s="7"/>
      <c r="C13" s="7" t="s">
        <v>38</v>
      </c>
      <c r="D13" s="7" t="s">
        <v>39</v>
      </c>
      <c r="E13" s="7" t="s">
        <v>15</v>
      </c>
      <c r="F13" s="7">
        <f>50*6+204*9</f>
        <v>2136</v>
      </c>
      <c r="G13" s="7"/>
      <c r="H13" s="7" t="s">
        <v>38</v>
      </c>
      <c r="I13" s="7" t="s">
        <v>15</v>
      </c>
      <c r="J13" s="7" t="s">
        <v>40</v>
      </c>
      <c r="K13" s="16">
        <f>50*9+204*9</f>
        <v>2286</v>
      </c>
      <c r="L13" s="21">
        <f>SUM(L4:L12)</f>
        <v>428.4</v>
      </c>
      <c r="M13" s="21">
        <f t="shared" ref="M13:P13" si="0">SUM(M4:M12)</f>
        <v>7489.12333333333</v>
      </c>
      <c r="N13" s="21">
        <f t="shared" si="0"/>
        <v>839.4</v>
      </c>
      <c r="O13" s="21">
        <f t="shared" si="0"/>
        <v>3151.36</v>
      </c>
      <c r="P13" s="21">
        <f t="shared" si="0"/>
        <v>14047.96</v>
      </c>
    </row>
    <row r="14" s="2" customFormat="1" ht="20.25" customHeight="1" spans="1:16">
      <c r="A14" s="8">
        <v>11</v>
      </c>
      <c r="B14" s="7"/>
      <c r="C14" s="7" t="s">
        <v>41</v>
      </c>
      <c r="D14" s="7" t="s">
        <v>42</v>
      </c>
      <c r="E14" s="7" t="s">
        <v>16</v>
      </c>
      <c r="F14" s="7">
        <v>2657.3</v>
      </c>
      <c r="G14" s="7"/>
      <c r="H14" s="7" t="s">
        <v>41</v>
      </c>
      <c r="I14" s="7" t="s">
        <v>16</v>
      </c>
      <c r="J14" s="7" t="s">
        <v>35</v>
      </c>
      <c r="K14" s="16">
        <v>2657.3</v>
      </c>
      <c r="L14" s="21">
        <f>L13*0.888/1000</f>
        <v>0.3804192</v>
      </c>
      <c r="M14" s="21">
        <f>M13*1.58/1000</f>
        <v>11.8328148666667</v>
      </c>
      <c r="N14" s="21">
        <f>N13*2.466/1000</f>
        <v>2.0699604</v>
      </c>
      <c r="O14" s="21">
        <f>O13*0.395/1000</f>
        <v>1.2447872</v>
      </c>
      <c r="P14" s="21">
        <f>P13*0.395/1000</f>
        <v>5.5489442</v>
      </c>
    </row>
    <row r="15" s="2" customFormat="1" ht="20.25" customHeight="1" spans="1:16">
      <c r="A15" s="8">
        <v>12</v>
      </c>
      <c r="B15" s="7" t="s">
        <v>43</v>
      </c>
      <c r="C15" s="7" t="s">
        <v>44</v>
      </c>
      <c r="D15" s="7" t="s">
        <v>45</v>
      </c>
      <c r="E15" s="7" t="s">
        <v>16</v>
      </c>
      <c r="F15" s="7">
        <f>4.24*9.7</f>
        <v>41.128</v>
      </c>
      <c r="G15" s="7"/>
      <c r="H15" s="7" t="s">
        <v>44</v>
      </c>
      <c r="I15" s="7" t="s">
        <v>16</v>
      </c>
      <c r="J15" s="7" t="s">
        <v>46</v>
      </c>
      <c r="K15" s="16">
        <f>51.64*0.4</f>
        <v>20.656</v>
      </c>
      <c r="L15" s="20"/>
      <c r="M15" s="20"/>
      <c r="N15" s="20"/>
      <c r="O15" s="20"/>
      <c r="P15" s="20"/>
    </row>
    <row r="16" s="2" customFormat="1" ht="20.25" customHeight="1" spans="1:16">
      <c r="A16" s="8">
        <v>13</v>
      </c>
      <c r="B16" s="7"/>
      <c r="C16" s="7" t="s">
        <v>47</v>
      </c>
      <c r="D16" s="7"/>
      <c r="E16" s="7" t="s">
        <v>16</v>
      </c>
      <c r="F16" s="7">
        <f>0.3*0.45*10</f>
        <v>1.35</v>
      </c>
      <c r="G16" s="7"/>
      <c r="H16" s="7" t="s">
        <v>47</v>
      </c>
      <c r="I16" s="7" t="s">
        <v>16</v>
      </c>
      <c r="J16" s="7" t="s">
        <v>48</v>
      </c>
      <c r="K16" s="16">
        <v>1.584</v>
      </c>
      <c r="L16" s="20"/>
      <c r="M16" s="20"/>
      <c r="N16" s="20"/>
      <c r="O16" s="20"/>
      <c r="P16" s="20"/>
    </row>
    <row r="17" s="2" customFormat="1" ht="20.25" customHeight="1" spans="1:16">
      <c r="A17" s="8">
        <v>14</v>
      </c>
      <c r="B17" s="7"/>
      <c r="C17" s="7" t="s">
        <v>49</v>
      </c>
      <c r="D17" s="7"/>
      <c r="E17" s="7" t="s">
        <v>50</v>
      </c>
      <c r="F17" s="7">
        <v>6</v>
      </c>
      <c r="G17" s="7"/>
      <c r="H17" s="7" t="s">
        <v>49</v>
      </c>
      <c r="I17" s="7" t="s">
        <v>50</v>
      </c>
      <c r="J17" s="7" t="s">
        <v>35</v>
      </c>
      <c r="K17" s="16">
        <v>6</v>
      </c>
      <c r="L17" s="20">
        <f>10/0.25</f>
        <v>40</v>
      </c>
      <c r="M17" s="20">
        <f>L17*5.2</f>
        <v>208</v>
      </c>
      <c r="N17" s="20"/>
      <c r="O17" s="20"/>
      <c r="P17" s="20"/>
    </row>
    <row r="18" s="2" customFormat="1" ht="20.25" customHeight="1" spans="1:16">
      <c r="A18" s="8">
        <v>15</v>
      </c>
      <c r="B18" s="7"/>
      <c r="C18" s="7" t="s">
        <v>51</v>
      </c>
      <c r="D18" s="7" t="s">
        <v>52</v>
      </c>
      <c r="E18" s="7" t="s">
        <v>15</v>
      </c>
      <c r="F18" s="7">
        <v>5</v>
      </c>
      <c r="G18" s="7"/>
      <c r="H18" s="7" t="s">
        <v>51</v>
      </c>
      <c r="I18" s="7" t="s">
        <v>15</v>
      </c>
      <c r="J18" s="7" t="s">
        <v>35</v>
      </c>
      <c r="K18" s="16">
        <v>5</v>
      </c>
      <c r="L18" s="20">
        <f>5.2/0.25</f>
        <v>20.8</v>
      </c>
      <c r="M18" s="20">
        <f>L18*10</f>
        <v>208</v>
      </c>
      <c r="N18" s="20"/>
      <c r="O18" s="20"/>
      <c r="P18" s="20"/>
    </row>
    <row r="19" s="2" customFormat="1" ht="20.25" customHeight="1" spans="1:16">
      <c r="A19" s="8">
        <v>16</v>
      </c>
      <c r="B19" s="7"/>
      <c r="C19" s="7" t="s">
        <v>53</v>
      </c>
      <c r="D19" s="7" t="s">
        <v>54</v>
      </c>
      <c r="E19" s="7" t="s">
        <v>15</v>
      </c>
      <c r="F19" s="7">
        <v>120</v>
      </c>
      <c r="G19" s="7"/>
      <c r="H19" s="7" t="s">
        <v>53</v>
      </c>
      <c r="I19" s="7" t="s">
        <v>15</v>
      </c>
      <c r="J19" s="7" t="s">
        <v>35</v>
      </c>
      <c r="K19" s="16">
        <v>120</v>
      </c>
      <c r="L19" s="20"/>
      <c r="M19" s="20"/>
      <c r="N19" s="20"/>
      <c r="O19" s="20"/>
      <c r="P19" s="20"/>
    </row>
    <row r="20" s="2" customFormat="1" ht="20.25" customHeight="1" spans="1:16">
      <c r="A20" s="8">
        <v>17</v>
      </c>
      <c r="B20" s="7"/>
      <c r="C20" s="7" t="s">
        <v>55</v>
      </c>
      <c r="D20" s="7" t="s">
        <v>56</v>
      </c>
      <c r="E20" s="7" t="s">
        <v>15</v>
      </c>
      <c r="F20" s="7">
        <v>768</v>
      </c>
      <c r="G20" s="7"/>
      <c r="H20" s="7" t="s">
        <v>55</v>
      </c>
      <c r="I20" s="7" t="s">
        <v>57</v>
      </c>
      <c r="J20" s="7" t="s">
        <v>58</v>
      </c>
      <c r="K20" s="16">
        <f>768*0.395/1000</f>
        <v>0.30336</v>
      </c>
      <c r="L20" s="20"/>
      <c r="M20" s="20"/>
      <c r="N20" s="20"/>
      <c r="O20" s="20"/>
      <c r="P20" s="20"/>
    </row>
    <row r="21" s="2" customFormat="1" ht="20.25" customHeight="1" spans="1:16">
      <c r="A21" s="8">
        <v>18</v>
      </c>
      <c r="B21" s="7" t="s">
        <v>59</v>
      </c>
      <c r="C21" s="7" t="s">
        <v>60</v>
      </c>
      <c r="D21" s="7"/>
      <c r="E21" s="7" t="s">
        <v>31</v>
      </c>
      <c r="F21" s="7">
        <v>375</v>
      </c>
      <c r="G21" s="7"/>
      <c r="H21" s="7" t="s">
        <v>60</v>
      </c>
      <c r="I21" s="7" t="s">
        <v>31</v>
      </c>
      <c r="J21" s="7" t="s">
        <v>61</v>
      </c>
      <c r="K21" s="16">
        <f>75*5</f>
        <v>375</v>
      </c>
      <c r="L21" s="20"/>
      <c r="M21" s="20"/>
      <c r="N21" s="20"/>
      <c r="O21" s="20"/>
      <c r="P21" s="20"/>
    </row>
    <row r="22" s="2" customFormat="1" ht="20.25" customHeight="1" spans="1:16">
      <c r="A22" s="8">
        <v>19</v>
      </c>
      <c r="B22" s="7"/>
      <c r="C22" s="7" t="s">
        <v>62</v>
      </c>
      <c r="D22" s="7" t="s">
        <v>63</v>
      </c>
      <c r="E22" s="7" t="s">
        <v>31</v>
      </c>
      <c r="F22" s="7">
        <v>375</v>
      </c>
      <c r="G22" s="7"/>
      <c r="H22" s="7" t="s">
        <v>62</v>
      </c>
      <c r="I22" s="7" t="s">
        <v>31</v>
      </c>
      <c r="J22" s="7" t="s">
        <v>61</v>
      </c>
      <c r="K22" s="16">
        <f>75*5</f>
        <v>375</v>
      </c>
      <c r="L22" s="20"/>
      <c r="M22" s="20"/>
      <c r="N22" s="20"/>
      <c r="O22" s="20"/>
      <c r="P22" s="20"/>
    </row>
    <row r="23" s="2" customFormat="1" ht="20.25" customHeight="1" spans="1:16">
      <c r="A23" s="8">
        <v>20</v>
      </c>
      <c r="B23" s="7"/>
      <c r="C23" s="7" t="s">
        <v>64</v>
      </c>
      <c r="D23" s="7" t="s">
        <v>65</v>
      </c>
      <c r="E23" s="7" t="s">
        <v>31</v>
      </c>
      <c r="F23" s="7">
        <v>375</v>
      </c>
      <c r="G23" s="7"/>
      <c r="H23" s="7" t="s">
        <v>64</v>
      </c>
      <c r="I23" s="7" t="s">
        <v>31</v>
      </c>
      <c r="J23" s="7" t="s">
        <v>61</v>
      </c>
      <c r="K23" s="16">
        <f>75*5</f>
        <v>375</v>
      </c>
      <c r="L23" s="20"/>
      <c r="M23" s="20"/>
      <c r="N23" s="20"/>
      <c r="O23" s="20"/>
      <c r="P23" s="20"/>
    </row>
    <row r="24" s="2" customFormat="1" ht="20.25" customHeight="1" spans="1:16">
      <c r="A24" s="8">
        <v>21</v>
      </c>
      <c r="B24" s="7" t="s">
        <v>66</v>
      </c>
      <c r="C24" s="7" t="s">
        <v>60</v>
      </c>
      <c r="D24" s="7"/>
      <c r="E24" s="7" t="s">
        <v>31</v>
      </c>
      <c r="F24" s="7">
        <v>94</v>
      </c>
      <c r="G24" s="7"/>
      <c r="H24" s="7" t="s">
        <v>60</v>
      </c>
      <c r="I24" s="7" t="s">
        <v>31</v>
      </c>
      <c r="J24" s="7" t="s">
        <v>35</v>
      </c>
      <c r="K24" s="16">
        <v>94</v>
      </c>
      <c r="L24" s="20"/>
      <c r="M24" s="20"/>
      <c r="N24" s="20"/>
      <c r="O24" s="20"/>
      <c r="P24" s="20"/>
    </row>
    <row r="25" s="2" customFormat="1" ht="20.25" customHeight="1" spans="1:16">
      <c r="A25" s="8">
        <v>22</v>
      </c>
      <c r="B25" s="7"/>
      <c r="C25" s="7" t="s">
        <v>62</v>
      </c>
      <c r="D25" s="7" t="s">
        <v>67</v>
      </c>
      <c r="E25" s="7" t="s">
        <v>31</v>
      </c>
      <c r="F25" s="7">
        <v>94</v>
      </c>
      <c r="G25" s="7"/>
      <c r="H25" s="7" t="s">
        <v>62</v>
      </c>
      <c r="I25" s="7" t="s">
        <v>31</v>
      </c>
      <c r="J25" s="7" t="s">
        <v>35</v>
      </c>
      <c r="K25" s="16">
        <v>94</v>
      </c>
      <c r="L25" s="20"/>
      <c r="M25" s="20"/>
      <c r="N25" s="20"/>
      <c r="O25" s="20"/>
      <c r="P25" s="20"/>
    </row>
    <row r="26" s="2" customFormat="1" ht="20.25" customHeight="1" spans="1:16">
      <c r="A26" s="8">
        <v>23</v>
      </c>
      <c r="B26" s="7"/>
      <c r="C26" s="7" t="s">
        <v>64</v>
      </c>
      <c r="D26" s="7" t="s">
        <v>68</v>
      </c>
      <c r="E26" s="7" t="s">
        <v>31</v>
      </c>
      <c r="F26" s="7">
        <v>94</v>
      </c>
      <c r="G26" s="7"/>
      <c r="H26" s="7" t="s">
        <v>64</v>
      </c>
      <c r="I26" s="7" t="s">
        <v>31</v>
      </c>
      <c r="J26" s="7" t="s">
        <v>35</v>
      </c>
      <c r="K26" s="16">
        <v>94</v>
      </c>
      <c r="L26" s="20"/>
      <c r="M26" s="20"/>
      <c r="N26" s="20"/>
      <c r="O26" s="20"/>
      <c r="P26" s="20"/>
    </row>
    <row r="27" s="2" customFormat="1" ht="20.25" customHeight="1" spans="1:16">
      <c r="A27" s="11">
        <v>24</v>
      </c>
      <c r="B27" s="12" t="s">
        <v>69</v>
      </c>
      <c r="C27" s="7" t="s">
        <v>70</v>
      </c>
      <c r="D27" s="7"/>
      <c r="E27" s="7" t="s">
        <v>31</v>
      </c>
      <c r="F27" s="7">
        <v>1184.34</v>
      </c>
      <c r="G27" s="7"/>
      <c r="H27" s="7" t="s">
        <v>70</v>
      </c>
      <c r="I27" s="7" t="s">
        <v>31</v>
      </c>
      <c r="J27" s="7" t="s">
        <v>35</v>
      </c>
      <c r="K27" s="16">
        <v>1184.34</v>
      </c>
      <c r="L27" s="20"/>
      <c r="M27" s="20"/>
      <c r="N27" s="20"/>
      <c r="O27" s="20"/>
      <c r="P27" s="20"/>
    </row>
    <row r="28" s="2" customFormat="1" ht="20.25" customHeight="1" spans="1:16">
      <c r="A28" s="11">
        <v>25</v>
      </c>
      <c r="B28" s="12"/>
      <c r="C28" s="7" t="s">
        <v>71</v>
      </c>
      <c r="D28" s="7"/>
      <c r="E28" s="7" t="s">
        <v>16</v>
      </c>
      <c r="F28" s="7">
        <v>178</v>
      </c>
      <c r="G28" s="7"/>
      <c r="H28" s="7" t="s">
        <v>71</v>
      </c>
      <c r="I28" s="7" t="s">
        <v>16</v>
      </c>
      <c r="J28" s="7" t="s">
        <v>35</v>
      </c>
      <c r="K28" s="16">
        <v>178</v>
      </c>
      <c r="L28" s="20"/>
      <c r="M28" s="20"/>
      <c r="N28" s="20"/>
      <c r="O28" s="20"/>
      <c r="P28" s="20"/>
    </row>
    <row r="29" s="2" customFormat="1" ht="20.25" customHeight="1" spans="1:16">
      <c r="A29" s="11">
        <v>26</v>
      </c>
      <c r="B29" s="12"/>
      <c r="C29" s="7" t="s">
        <v>72</v>
      </c>
      <c r="D29" s="7" t="s">
        <v>73</v>
      </c>
      <c r="E29" s="7" t="s">
        <v>16</v>
      </c>
      <c r="F29" s="10">
        <v>99.45</v>
      </c>
      <c r="G29" s="7"/>
      <c r="H29" s="7" t="s">
        <v>72</v>
      </c>
      <c r="I29" s="7" t="s">
        <v>16</v>
      </c>
      <c r="J29" s="7" t="s">
        <v>74</v>
      </c>
      <c r="K29" s="16">
        <v>99.45</v>
      </c>
      <c r="L29" s="20"/>
      <c r="M29" s="20"/>
      <c r="N29" s="20"/>
      <c r="O29" s="20"/>
      <c r="P29" s="20"/>
    </row>
    <row r="30" s="2" customFormat="1" ht="20.25" customHeight="1" spans="1:16">
      <c r="A30" s="11">
        <v>27</v>
      </c>
      <c r="B30" s="12"/>
      <c r="C30" s="7" t="s">
        <v>49</v>
      </c>
      <c r="D30" s="7"/>
      <c r="E30" s="7" t="s">
        <v>50</v>
      </c>
      <c r="F30" s="7">
        <v>22</v>
      </c>
      <c r="G30" s="7"/>
      <c r="H30" s="7" t="s">
        <v>49</v>
      </c>
      <c r="I30" s="7" t="s">
        <v>50</v>
      </c>
      <c r="J30" s="7" t="s">
        <v>35</v>
      </c>
      <c r="K30" s="16">
        <v>22</v>
      </c>
      <c r="L30" s="20"/>
      <c r="M30" s="20"/>
      <c r="N30" s="20"/>
      <c r="O30" s="20"/>
      <c r="P30" s="20"/>
    </row>
    <row r="31" s="2" customFormat="1" ht="20.25" customHeight="1" spans="1:16">
      <c r="A31" s="11">
        <v>28</v>
      </c>
      <c r="B31" s="12"/>
      <c r="C31" s="7" t="s">
        <v>51</v>
      </c>
      <c r="D31" s="7" t="s">
        <v>52</v>
      </c>
      <c r="E31" s="7" t="s">
        <v>15</v>
      </c>
      <c r="F31" s="10">
        <v>33</v>
      </c>
      <c r="G31" s="7"/>
      <c r="H31" s="7" t="s">
        <v>51</v>
      </c>
      <c r="I31" s="7" t="s">
        <v>15</v>
      </c>
      <c r="J31" s="7" t="s">
        <v>35</v>
      </c>
      <c r="K31" s="16">
        <v>33</v>
      </c>
      <c r="L31" s="20"/>
      <c r="M31" s="20"/>
      <c r="N31" s="20"/>
      <c r="O31" s="20"/>
      <c r="P31" s="20"/>
    </row>
    <row r="32" s="2" customFormat="1" ht="20.25" customHeight="1" spans="1:16">
      <c r="A32" s="11">
        <v>29</v>
      </c>
      <c r="B32" s="12"/>
      <c r="C32" s="7" t="s">
        <v>75</v>
      </c>
      <c r="D32" s="7"/>
      <c r="E32" s="7" t="s">
        <v>31</v>
      </c>
      <c r="F32" s="7">
        <v>3.08</v>
      </c>
      <c r="G32" s="7"/>
      <c r="H32" s="7" t="s">
        <v>75</v>
      </c>
      <c r="I32" s="7" t="s">
        <v>31</v>
      </c>
      <c r="J32" s="7" t="s">
        <v>35</v>
      </c>
      <c r="K32" s="16">
        <v>3.08</v>
      </c>
      <c r="L32" s="20"/>
      <c r="M32" s="20"/>
      <c r="N32" s="20"/>
      <c r="O32" s="20"/>
      <c r="P32" s="20"/>
    </row>
    <row r="33" s="2" customFormat="1" ht="20.25" customHeight="1" spans="1:16">
      <c r="A33" s="11">
        <v>30</v>
      </c>
      <c r="B33" s="12"/>
      <c r="C33" s="7" t="s">
        <v>76</v>
      </c>
      <c r="D33" s="7"/>
      <c r="E33" s="7" t="s">
        <v>16</v>
      </c>
      <c r="F33" s="10">
        <v>180</v>
      </c>
      <c r="G33" s="7"/>
      <c r="H33" s="7" t="s">
        <v>76</v>
      </c>
      <c r="I33" s="7" t="s">
        <v>16</v>
      </c>
      <c r="J33" s="7" t="s">
        <v>35</v>
      </c>
      <c r="K33" s="16">
        <v>180</v>
      </c>
      <c r="L33" s="20"/>
      <c r="M33" s="20"/>
      <c r="N33" s="20"/>
      <c r="O33" s="20"/>
      <c r="P33" s="20"/>
    </row>
    <row r="34" s="2" customFormat="1" ht="20.25" customHeight="1" spans="1:16">
      <c r="A34" s="13">
        <v>31</v>
      </c>
      <c r="B34" s="7" t="s">
        <v>77</v>
      </c>
      <c r="C34" s="7" t="s">
        <v>78</v>
      </c>
      <c r="D34" s="7" t="s">
        <v>79</v>
      </c>
      <c r="E34" s="7" t="s">
        <v>15</v>
      </c>
      <c r="F34" s="7">
        <v>10.9</v>
      </c>
      <c r="G34" s="7"/>
      <c r="H34" s="7" t="s">
        <v>80</v>
      </c>
      <c r="I34" s="7" t="s">
        <v>16</v>
      </c>
      <c r="J34" s="7" t="s">
        <v>81</v>
      </c>
      <c r="K34" s="16">
        <f>0.1*0.55*10.9</f>
        <v>0.5995</v>
      </c>
      <c r="L34" s="20"/>
      <c r="M34" s="20"/>
      <c r="N34" s="20"/>
      <c r="O34" s="20"/>
      <c r="P34" s="20"/>
    </row>
    <row r="35" s="2" customFormat="1" ht="20.25" customHeight="1" spans="1:16">
      <c r="A35" s="14"/>
      <c r="B35" s="7"/>
      <c r="C35" s="7"/>
      <c r="D35" s="7"/>
      <c r="E35" s="7"/>
      <c r="F35" s="7"/>
      <c r="G35" s="7"/>
      <c r="H35" s="7" t="s">
        <v>82</v>
      </c>
      <c r="I35" s="7" t="s">
        <v>16</v>
      </c>
      <c r="J35" s="7" t="s">
        <v>83</v>
      </c>
      <c r="K35" s="16">
        <f>10.9*0.2*0.3</f>
        <v>0.654</v>
      </c>
      <c r="L35" s="20"/>
      <c r="M35" s="20"/>
      <c r="N35" s="20"/>
      <c r="O35" s="20"/>
      <c r="P35" s="20"/>
    </row>
    <row r="36" s="2" customFormat="1" ht="20.25" customHeight="1" spans="1:16">
      <c r="A36" s="13">
        <v>32</v>
      </c>
      <c r="B36" s="7"/>
      <c r="C36" s="7" t="s">
        <v>84</v>
      </c>
      <c r="D36" s="7" t="s">
        <v>85</v>
      </c>
      <c r="E36" s="7" t="s">
        <v>15</v>
      </c>
      <c r="F36" s="7">
        <f>92.56+11</f>
        <v>103.56</v>
      </c>
      <c r="G36" s="7"/>
      <c r="H36" s="7" t="s">
        <v>86</v>
      </c>
      <c r="I36" s="7" t="s">
        <v>16</v>
      </c>
      <c r="J36" s="7" t="s">
        <v>87</v>
      </c>
      <c r="K36" s="16">
        <f>0.15*0.75*103.56</f>
        <v>11.6505</v>
      </c>
      <c r="L36" s="20"/>
      <c r="M36" s="20"/>
      <c r="N36" s="20"/>
      <c r="O36" s="20"/>
      <c r="P36" s="20"/>
    </row>
    <row r="37" s="2" customFormat="1" ht="20.25" customHeight="1" spans="1:16">
      <c r="A37" s="14"/>
      <c r="B37" s="7"/>
      <c r="C37" s="7"/>
      <c r="D37" s="7"/>
      <c r="E37" s="7"/>
      <c r="F37" s="7"/>
      <c r="G37" s="7"/>
      <c r="H37" s="7" t="s">
        <v>88</v>
      </c>
      <c r="I37" s="7" t="s">
        <v>16</v>
      </c>
      <c r="J37" s="7" t="s">
        <v>89</v>
      </c>
      <c r="K37" s="16">
        <f>103.56*0.2*0.3*2</f>
        <v>12.4272</v>
      </c>
      <c r="L37" s="20"/>
      <c r="M37" s="20"/>
      <c r="N37" s="20"/>
      <c r="O37" s="20"/>
      <c r="P37" s="20"/>
    </row>
    <row r="38" s="2" customFormat="1" ht="20.25" customHeight="1" spans="1:16">
      <c r="A38" s="8">
        <v>33</v>
      </c>
      <c r="B38" s="7"/>
      <c r="C38" s="7" t="s">
        <v>90</v>
      </c>
      <c r="D38" s="7" t="s">
        <v>72</v>
      </c>
      <c r="E38" s="7" t="s">
        <v>16</v>
      </c>
      <c r="F38" s="7">
        <f>20.8+5.95+19.5</f>
        <v>46.25</v>
      </c>
      <c r="G38" s="7"/>
      <c r="H38" s="7" t="s">
        <v>90</v>
      </c>
      <c r="I38" s="7" t="s">
        <v>15</v>
      </c>
      <c r="J38" s="7" t="s">
        <v>91</v>
      </c>
      <c r="K38" s="16">
        <f>20.8+5.95+19.5</f>
        <v>46.25</v>
      </c>
      <c r="L38" s="20"/>
      <c r="M38" s="20"/>
      <c r="N38" s="20"/>
      <c r="O38" s="20"/>
      <c r="P38" s="20"/>
    </row>
    <row r="39" s="2" customFormat="1" ht="20.25" customHeight="1" spans="1:16">
      <c r="A39" s="8">
        <v>34</v>
      </c>
      <c r="B39" s="7"/>
      <c r="C39" s="7" t="s">
        <v>92</v>
      </c>
      <c r="D39" s="7" t="s">
        <v>93</v>
      </c>
      <c r="E39" s="7" t="s">
        <v>94</v>
      </c>
      <c r="F39" s="7">
        <v>1</v>
      </c>
      <c r="G39" s="7"/>
      <c r="H39" s="7" t="s">
        <v>92</v>
      </c>
      <c r="I39" s="7" t="s">
        <v>94</v>
      </c>
      <c r="J39" s="7" t="s">
        <v>35</v>
      </c>
      <c r="K39" s="16">
        <v>1</v>
      </c>
      <c r="L39" s="20"/>
      <c r="M39" s="20"/>
      <c r="N39" s="20"/>
      <c r="O39" s="20"/>
      <c r="P39" s="20"/>
    </row>
    <row r="40" s="2" customFormat="1" ht="20.25" customHeight="1" spans="1:16">
      <c r="A40" s="8">
        <v>35</v>
      </c>
      <c r="B40" s="7"/>
      <c r="C40" s="7" t="s">
        <v>95</v>
      </c>
      <c r="D40" s="7" t="s">
        <v>96</v>
      </c>
      <c r="E40" s="7" t="s">
        <v>15</v>
      </c>
      <c r="F40" s="7">
        <v>6</v>
      </c>
      <c r="G40" s="7"/>
      <c r="H40" s="7" t="s">
        <v>95</v>
      </c>
      <c r="I40" s="7" t="s">
        <v>15</v>
      </c>
      <c r="J40" s="7" t="s">
        <v>35</v>
      </c>
      <c r="K40" s="16">
        <v>6</v>
      </c>
      <c r="L40" s="20"/>
      <c r="M40" s="20"/>
      <c r="N40" s="20"/>
      <c r="O40" s="20"/>
      <c r="P40" s="20"/>
    </row>
    <row r="41" s="2" customFormat="1" ht="84.75" customHeight="1" spans="1:16">
      <c r="A41" s="8">
        <v>36</v>
      </c>
      <c r="B41" s="7"/>
      <c r="C41" s="7" t="s">
        <v>97</v>
      </c>
      <c r="D41" s="7"/>
      <c r="E41" s="7" t="s">
        <v>16</v>
      </c>
      <c r="F41" s="10">
        <f>(9.1+6.58)/2*F38+F36*0.7*0.4+F34*0.5*0.4</f>
        <v>393.7768</v>
      </c>
      <c r="G41" s="7"/>
      <c r="H41" s="7" t="s">
        <v>97</v>
      </c>
      <c r="I41" s="7"/>
      <c r="J41" s="12" t="s">
        <v>98</v>
      </c>
      <c r="K41" s="7">
        <f>(9.1+6.58)/2*46.25+103.56*0.7*0.4+10.9*0.5*0.4+2.4*2.4*1.75+1*6*1.1</f>
        <v>410.4568</v>
      </c>
      <c r="L41" s="20"/>
      <c r="M41" s="20"/>
      <c r="N41" s="20"/>
      <c r="O41" s="20"/>
      <c r="P41" s="20"/>
    </row>
    <row r="42" ht="22.5" customHeight="1"/>
    <row r="43" ht="22.5" customHeight="1"/>
    <row r="44" ht="22.5" customHeight="1"/>
  </sheetData>
  <mergeCells count="19">
    <mergeCell ref="A1:G1"/>
    <mergeCell ref="A2:G2"/>
    <mergeCell ref="L2:P2"/>
    <mergeCell ref="A34:A35"/>
    <mergeCell ref="A36:A37"/>
    <mergeCell ref="B4:B13"/>
    <mergeCell ref="B15:B20"/>
    <mergeCell ref="B21:B23"/>
    <mergeCell ref="B24:B26"/>
    <mergeCell ref="B27:B33"/>
    <mergeCell ref="B34:B41"/>
    <mergeCell ref="C34:C35"/>
    <mergeCell ref="C36:C37"/>
    <mergeCell ref="D34:D35"/>
    <mergeCell ref="D36:D37"/>
    <mergeCell ref="E34:E35"/>
    <mergeCell ref="E36:E37"/>
    <mergeCell ref="F34:F35"/>
    <mergeCell ref="F36:F37"/>
  </mergeCells>
  <pageMargins left="0.700694444444445" right="0.700694444444445" top="0.751388888888889" bottom="0.751388888888889" header="0.297916666666667" footer="0.297916666666667"/>
  <pageSetup paperSize="9" scale="5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"/>
  <sheetViews>
    <sheetView workbookViewId="0">
      <selection activeCell="A1" sqref="A1:C6"/>
    </sheetView>
  </sheetViews>
  <sheetFormatPr defaultColWidth="9" defaultRowHeight="13.5" outlineLevelCol="2"/>
  <cols>
    <col min="1" max="16384" width="9" style="1"/>
  </cols>
  <sheetData>
    <row r="1" ht="30" customHeight="1" spans="1:3">
      <c r="A1" s="1">
        <v>1</v>
      </c>
      <c r="B1" s="1" t="s">
        <v>99</v>
      </c>
      <c r="C1" s="1">
        <v>0</v>
      </c>
    </row>
    <row r="2" ht="30" customHeight="1" spans="2:3">
      <c r="B2" s="1" t="s">
        <v>100</v>
      </c>
      <c r="C2" s="1">
        <v>1.44</v>
      </c>
    </row>
    <row r="3" ht="30" customHeight="1" spans="1:3">
      <c r="A3" s="1">
        <v>2</v>
      </c>
      <c r="B3" s="1" t="s">
        <v>99</v>
      </c>
      <c r="C3" s="1">
        <v>5.39</v>
      </c>
    </row>
    <row r="4" ht="30" customHeight="1" spans="2:3">
      <c r="B4" s="1" t="s">
        <v>100</v>
      </c>
      <c r="C4" s="1">
        <v>43.48</v>
      </c>
    </row>
    <row r="5" ht="30" customHeight="1" spans="1:3">
      <c r="A5" s="1">
        <v>3</v>
      </c>
      <c r="B5" s="1" t="s">
        <v>99</v>
      </c>
      <c r="C5" s="1">
        <v>0</v>
      </c>
    </row>
    <row r="6" ht="30" customHeight="1" spans="2:3">
      <c r="B6" s="1" t="s">
        <v>100</v>
      </c>
      <c r="C6" s="1">
        <v>75.95</v>
      </c>
    </row>
    <row r="7" ht="30" customHeight="1" spans="1:3">
      <c r="A7" s="1">
        <v>4</v>
      </c>
      <c r="B7" s="1" t="s">
        <v>99</v>
      </c>
      <c r="C7" s="1">
        <v>0</v>
      </c>
    </row>
    <row r="8" ht="30" customHeight="1" spans="2:3">
      <c r="B8" s="1" t="s">
        <v>100</v>
      </c>
      <c r="C8" s="1">
        <v>60.67</v>
      </c>
    </row>
    <row r="9" ht="30" customHeight="1" spans="1:3">
      <c r="A9" s="1">
        <v>5</v>
      </c>
      <c r="B9" s="1" t="s">
        <v>99</v>
      </c>
      <c r="C9" s="1">
        <v>0</v>
      </c>
    </row>
    <row r="10" ht="30" customHeight="1" spans="2:3">
      <c r="B10" s="1" t="s">
        <v>100</v>
      </c>
      <c r="C10" s="1">
        <v>25.56</v>
      </c>
    </row>
    <row r="11" ht="30" customHeight="1" spans="1:3">
      <c r="A11" s="1">
        <v>6</v>
      </c>
      <c r="B11" s="1" t="s">
        <v>99</v>
      </c>
      <c r="C11" s="1">
        <v>2</v>
      </c>
    </row>
    <row r="12" ht="30" customHeight="1" spans="2:3">
      <c r="B12" s="1" t="s">
        <v>100</v>
      </c>
      <c r="C12" s="1">
        <v>37.49</v>
      </c>
    </row>
    <row r="13" ht="30" customHeight="1" spans="1:3">
      <c r="A13" s="1">
        <v>7</v>
      </c>
      <c r="B13" s="1" t="s">
        <v>99</v>
      </c>
      <c r="C13" s="1">
        <v>4</v>
      </c>
    </row>
    <row r="14" ht="30" customHeight="1" spans="2:3">
      <c r="B14" s="1" t="s">
        <v>100</v>
      </c>
      <c r="C14" s="1">
        <v>13.59</v>
      </c>
    </row>
    <row r="15" ht="30" customHeight="1" spans="1:3">
      <c r="A15" s="1">
        <v>8</v>
      </c>
      <c r="B15" s="1" t="s">
        <v>99</v>
      </c>
      <c r="C15" s="1">
        <v>1</v>
      </c>
    </row>
    <row r="16" ht="30" customHeight="1" spans="2:3">
      <c r="B16" s="1" t="s">
        <v>100</v>
      </c>
      <c r="C16" s="1">
        <v>6.53</v>
      </c>
    </row>
    <row r="17" ht="30" customHeight="1" spans="1:3">
      <c r="A17" s="1">
        <v>9</v>
      </c>
      <c r="B17" s="1" t="s">
        <v>99</v>
      </c>
      <c r="C17" s="1">
        <v>3.42</v>
      </c>
    </row>
    <row r="18" ht="30" customHeight="1" spans="2:3">
      <c r="B18" s="1" t="s">
        <v>100</v>
      </c>
      <c r="C18" s="1">
        <v>0</v>
      </c>
    </row>
    <row r="19" ht="30" customHeight="1" spans="1:3">
      <c r="A19" s="1">
        <v>10</v>
      </c>
      <c r="B19" s="1" t="s">
        <v>99</v>
      </c>
      <c r="C19" s="1">
        <v>3.98</v>
      </c>
    </row>
    <row r="20" ht="30" customHeight="1" spans="2:3">
      <c r="B20" s="1" t="s">
        <v>100</v>
      </c>
      <c r="C20" s="1">
        <v>3.36</v>
      </c>
    </row>
  </sheetData>
  <mergeCells count="10">
    <mergeCell ref="A1:A2"/>
    <mergeCell ref="A3:A4"/>
    <mergeCell ref="A5:A6"/>
    <mergeCell ref="A7:A8"/>
    <mergeCell ref="A9:A10"/>
    <mergeCell ref="A11:A12"/>
    <mergeCell ref="A13:A14"/>
    <mergeCell ref="A15:A16"/>
    <mergeCell ref="A17:A18"/>
    <mergeCell ref="A19:A20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锋</cp:lastModifiedBy>
  <dcterms:created xsi:type="dcterms:W3CDTF">2019-06-15T05:56:00Z</dcterms:created>
  <dcterms:modified xsi:type="dcterms:W3CDTF">2019-10-12T03:31:57Z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